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8"/>
  <workbookPr/>
  <mc:AlternateContent xmlns:mc="http://schemas.openxmlformats.org/markup-compatibility/2006">
    <mc:Choice Requires="x15">
      <x15ac:absPath xmlns:x15ac="http://schemas.microsoft.com/office/spreadsheetml/2010/11/ac" url="/Users/enyabecker/Library/Mobile Documents/com~apple~CloudDocs/Bio Studium/Bachelorabeit/Protocols/"/>
    </mc:Choice>
  </mc:AlternateContent>
  <xr:revisionPtr revIDLastSave="0" documentId="13_ncr:1_{35752B9E-B210-2A47-8161-DBB9E0804339}" xr6:coauthVersionLast="47" xr6:coauthVersionMax="47" xr10:uidLastSave="{00000000-0000-0000-0000-000000000000}"/>
  <bookViews>
    <workbookView xWindow="0" yWindow="500" windowWidth="28800" windowHeight="15940" xr2:uid="{00000000-000D-0000-FFFF-FFFF00000000}"/>
  </bookViews>
  <sheets>
    <sheet name="calculations_6d" sheetId="1" r:id="rId1"/>
    <sheet name="calculations_14+3d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5" l="1"/>
  <c r="I10" i="5"/>
  <c r="I9" i="5"/>
  <c r="I8" i="5"/>
  <c r="I7" i="5"/>
  <c r="I6" i="5"/>
  <c r="I5" i="5"/>
  <c r="I3" i="5"/>
  <c r="H32" i="5"/>
  <c r="H33" i="5"/>
  <c r="H34" i="5"/>
  <c r="H35" i="5"/>
  <c r="H36" i="5"/>
  <c r="H37" i="5"/>
  <c r="H38" i="5"/>
  <c r="H31" i="5"/>
  <c r="G32" i="5"/>
  <c r="G33" i="5"/>
  <c r="G34" i="5"/>
  <c r="G35" i="5"/>
  <c r="G36" i="5"/>
  <c r="G37" i="5"/>
  <c r="G38" i="5"/>
  <c r="G31" i="5"/>
  <c r="E38" i="5"/>
  <c r="E37" i="5"/>
  <c r="E36" i="5"/>
  <c r="E35" i="5"/>
  <c r="E34" i="5"/>
  <c r="E33" i="5"/>
  <c r="E32" i="5"/>
  <c r="E31" i="5"/>
  <c r="G32" i="1"/>
  <c r="G33" i="1"/>
  <c r="G34" i="1"/>
  <c r="G35" i="1"/>
  <c r="G36" i="1"/>
  <c r="G37" i="1"/>
  <c r="G38" i="1"/>
  <c r="H38" i="1" s="1"/>
  <c r="G39" i="1"/>
  <c r="H39" i="1" s="1"/>
  <c r="G40" i="1"/>
  <c r="H40" i="1" s="1"/>
  <c r="G31" i="1"/>
  <c r="H32" i="1"/>
  <c r="H33" i="1"/>
  <c r="H34" i="1"/>
  <c r="H35" i="1"/>
  <c r="H36" i="1"/>
  <c r="H37" i="1"/>
  <c r="H31" i="1"/>
  <c r="E40" i="1"/>
  <c r="E39" i="1"/>
  <c r="E38" i="1"/>
  <c r="E37" i="1"/>
  <c r="E36" i="1"/>
  <c r="E35" i="1"/>
  <c r="E34" i="1"/>
  <c r="E33" i="1"/>
  <c r="E32" i="1"/>
  <c r="E31" i="1"/>
  <c r="E4" i="5"/>
  <c r="F4" i="5" s="1"/>
  <c r="E5" i="5"/>
  <c r="F5" i="5" s="1"/>
  <c r="E6" i="5"/>
  <c r="F6" i="5" s="1"/>
  <c r="E7" i="5"/>
  <c r="E8" i="5"/>
  <c r="E9" i="5"/>
  <c r="E10" i="5"/>
  <c r="E3" i="5"/>
  <c r="F3" i="5" s="1"/>
  <c r="F10" i="5"/>
  <c r="G10" i="5" s="1"/>
  <c r="F9" i="5"/>
  <c r="G9" i="5" s="1"/>
  <c r="F8" i="5"/>
  <c r="G8" i="5" s="1"/>
  <c r="F7" i="5"/>
  <c r="J18" i="1"/>
  <c r="J17" i="1"/>
  <c r="I18" i="1"/>
  <c r="I17" i="1"/>
  <c r="M8" i="1"/>
  <c r="M3" i="1"/>
  <c r="G7" i="5" l="1"/>
  <c r="J7" i="5" s="1"/>
  <c r="K7" i="5" s="1"/>
  <c r="G6" i="5"/>
  <c r="J6" i="5" s="1"/>
  <c r="K6" i="5" s="1"/>
  <c r="G5" i="5"/>
  <c r="J5" i="5" s="1"/>
  <c r="K5" i="5" s="1"/>
  <c r="G4" i="5"/>
  <c r="J4" i="5" s="1"/>
  <c r="K4" i="5" s="1"/>
  <c r="G3" i="5"/>
  <c r="J3" i="5" s="1"/>
  <c r="K3" i="5" s="1"/>
  <c r="J8" i="5"/>
  <c r="K8" i="5" s="1"/>
  <c r="J9" i="5"/>
  <c r="K9" i="5" s="1"/>
  <c r="J10" i="5"/>
  <c r="K10" i="5" s="1"/>
  <c r="E4" i="1"/>
  <c r="F4" i="1" s="1"/>
  <c r="G4" i="1" s="1"/>
  <c r="I4" i="1" s="1"/>
  <c r="J4" i="1" s="1"/>
  <c r="K4" i="1" s="1"/>
  <c r="E5" i="1"/>
  <c r="F5" i="1" s="1"/>
  <c r="G5" i="1" s="1"/>
  <c r="I5" i="1" s="1"/>
  <c r="J5" i="1" s="1"/>
  <c r="K5" i="1" s="1"/>
  <c r="E6" i="1"/>
  <c r="F6" i="1" s="1"/>
  <c r="G6" i="1" s="1"/>
  <c r="I6" i="1" s="1"/>
  <c r="J6" i="1" s="1"/>
  <c r="K6" i="1" s="1"/>
  <c r="E7" i="1"/>
  <c r="F7" i="1" s="1"/>
  <c r="G7" i="1" s="1"/>
  <c r="I7" i="1" s="1"/>
  <c r="J7" i="1" s="1"/>
  <c r="K7" i="1" s="1"/>
  <c r="E8" i="1"/>
  <c r="F8" i="1" s="1"/>
  <c r="G8" i="1" s="1"/>
  <c r="I8" i="1" s="1"/>
  <c r="J8" i="1" s="1"/>
  <c r="K8" i="1" s="1"/>
  <c r="L8" i="1" s="1"/>
  <c r="E9" i="1"/>
  <c r="F9" i="1" s="1"/>
  <c r="G9" i="1" s="1"/>
  <c r="I9" i="1" s="1"/>
  <c r="J9" i="1" s="1"/>
  <c r="K9" i="1" s="1"/>
  <c r="E10" i="1"/>
  <c r="F10" i="1" s="1"/>
  <c r="G10" i="1" s="1"/>
  <c r="I10" i="1" s="1"/>
  <c r="J10" i="1" s="1"/>
  <c r="K10" i="1" s="1"/>
  <c r="E11" i="1"/>
  <c r="F11" i="1" s="1"/>
  <c r="G11" i="1" s="1"/>
  <c r="I11" i="1" s="1"/>
  <c r="J11" i="1" s="1"/>
  <c r="K11" i="1" s="1"/>
  <c r="E12" i="1"/>
  <c r="F12" i="1" s="1"/>
  <c r="G12" i="1" s="1"/>
  <c r="I12" i="1" s="1"/>
  <c r="J12" i="1" s="1"/>
  <c r="K12" i="1" s="1"/>
  <c r="E3" i="1"/>
  <c r="F3" i="1" s="1"/>
  <c r="G3" i="1" s="1"/>
  <c r="I3" i="1" s="1"/>
  <c r="J3" i="1" s="1"/>
  <c r="K3" i="1" s="1"/>
  <c r="M7" i="5" l="1"/>
  <c r="J16" i="5" s="1"/>
  <c r="L7" i="5"/>
  <c r="I16" i="5" s="1"/>
  <c r="M3" i="5"/>
  <c r="J15" i="5" s="1"/>
  <c r="L3" i="5"/>
  <c r="I15" i="5" s="1"/>
  <c r="L3" i="1"/>
</calcChain>
</file>

<file path=xl/sharedStrings.xml><?xml version="1.0" encoding="utf-8"?>
<sst xmlns="http://schemas.openxmlformats.org/spreadsheetml/2006/main" count="123" uniqueCount="51">
  <si>
    <t>Genotype</t>
  </si>
  <si>
    <t>A (562 nm)</t>
  </si>
  <si>
    <t>A (562 nm) - Blank</t>
  </si>
  <si>
    <t>pool No</t>
  </si>
  <si>
    <t>Stabw</t>
  </si>
  <si>
    <t>ferric reductase activity 
(mmol Fe2+/cm/h)</t>
  </si>
  <si>
    <t>ferric reductase activity 
(nmol Fe2+/cm/h)</t>
  </si>
  <si>
    <t>Col-0</t>
  </si>
  <si>
    <t>Fe condition</t>
  </si>
  <si>
    <t>50 µM</t>
  </si>
  <si>
    <t>0 µM</t>
  </si>
  <si>
    <t>sum root length [cm]</t>
  </si>
  <si>
    <t>Mean ferric reductase activity 
(nmol Fe2+/cm/h)</t>
  </si>
  <si>
    <t>0 µM Fe</t>
  </si>
  <si>
    <t>A: absorption</t>
  </si>
  <si>
    <t>concentration 
(mmol/l)</t>
  </si>
  <si>
    <t>Step c) Normalize the amount of Fe2+ in the 1 ml reaction volume to the root length of all plants in the sample</t>
  </si>
  <si>
    <t>Step d) Determine the number of Fe2+ generated in the reaction volume per root unit per time unit (1h)</t>
  </si>
  <si>
    <t xml:space="preserve">exemplary data from an assay, the blank was 0,424 </t>
  </si>
  <si>
    <t>amount of Fe2+ ions in reaction volume (mmol)</t>
  </si>
  <si>
    <t>Determine the mean of your 
5 biological replicates</t>
  </si>
  <si>
    <t>determine the standard 
deviation</t>
  </si>
  <si>
    <t>50 µM Fe</t>
  </si>
  <si>
    <t>sum root weight [mg]</t>
  </si>
  <si>
    <t>exemplary data from an assay, the blank was 0,406</t>
  </si>
  <si>
    <t>Step c) Normalize the amount of Fe2+ in the 1.5 ml reaction volume to the root weight of all plants in the sample</t>
  </si>
  <si>
    <t>Step b) Calculate the amount of Fe2+ in the 1.5 ml reaction volume (mmol/l * l = mmol)</t>
  </si>
  <si>
    <t>Step b) Calculate the amount of Fe2+ in the 1 ml reaction volume  (mmol/l * l = mmol)</t>
  </si>
  <si>
    <t>l: layer thickness: 1 cm</t>
  </si>
  <si>
    <t>ferric reductase activity 
(mmol Fe2+/mg/h)</t>
  </si>
  <si>
    <t>ferric reductase activity 
(nmol Fe2+/mg/h)</t>
  </si>
  <si>
    <t>Mean ferric reductase activity 
(nmol Fe2+/mg/h)</t>
  </si>
  <si>
    <t>ferric reductase activity 
(mmol Fe2+/cm/h) 
combined formula</t>
  </si>
  <si>
    <r>
      <t xml:space="preserve">the assay was performed with a pool of </t>
    </r>
    <r>
      <rPr>
        <b/>
        <sz val="11"/>
        <color theme="1"/>
        <rFont val="Calibri"/>
        <family val="2"/>
        <scheme val="minor"/>
      </rPr>
      <t>2 14+3d-old seedlings</t>
    </r>
    <r>
      <rPr>
        <sz val="11"/>
        <color theme="1"/>
        <rFont val="Calibri"/>
        <family val="2"/>
        <scheme val="minor"/>
      </rPr>
      <t xml:space="preserve"> per well, hence the reaction volume was </t>
    </r>
    <r>
      <rPr>
        <b/>
        <sz val="11"/>
        <color theme="1"/>
        <rFont val="Calibri"/>
        <family val="2"/>
        <scheme val="minor"/>
      </rPr>
      <t>1.5 ml</t>
    </r>
  </si>
  <si>
    <r>
      <t xml:space="preserve">the assay was performed with a pool of </t>
    </r>
    <r>
      <rPr>
        <b/>
        <sz val="11"/>
        <color theme="1"/>
        <rFont val="Calibri"/>
        <family val="2"/>
        <scheme val="minor"/>
      </rPr>
      <t>5 6d-old seedlings</t>
    </r>
    <r>
      <rPr>
        <sz val="11"/>
        <color theme="1"/>
        <rFont val="Calibri"/>
        <family val="2"/>
        <scheme val="minor"/>
      </rPr>
      <t xml:space="preserve"> per well, hence the reaction volume was </t>
    </r>
    <r>
      <rPr>
        <b/>
        <sz val="11"/>
        <color theme="1"/>
        <rFont val="Calibri"/>
        <family val="2"/>
        <scheme val="minor"/>
      </rPr>
      <t>1 ml</t>
    </r>
  </si>
  <si>
    <t>Exemplary calculation with combined formula</t>
  </si>
  <si>
    <t>ferric reductase activity 
(mmol Fe2+/mg/h)
combined formula</t>
  </si>
  <si>
    <t>ferric reductase activity 
(nmol Fe2+/mg/h)
combined formula</t>
  </si>
  <si>
    <t>ℇ: Extinction coefficient of ferrozine: 28.6 mmol l−1 cm−1</t>
  </si>
  <si>
    <t>Step d.2) Adjust the visualization of your 
data according to your measurement and in clear and vivid way, e.g. represent data in nmol Fe2+/cm/h because the values are better visualizable</t>
  </si>
  <si>
    <t>concentration c
(mmol/l)</t>
  </si>
  <si>
    <r>
      <t xml:space="preserve">c = A / </t>
    </r>
    <r>
      <rPr>
        <sz val="11"/>
        <color theme="1"/>
        <rFont val="Symbol"/>
        <charset val="2"/>
      </rPr>
      <t>e</t>
    </r>
    <r>
      <rPr>
        <sz val="11"/>
        <color theme="1"/>
        <rFont val="Calibri"/>
        <family val="2"/>
        <scheme val="minor"/>
      </rPr>
      <t xml:space="preserve"> d</t>
    </r>
  </si>
  <si>
    <t>Amount of Fe2+ in the reaction 
volume normalized to the root weight (mmol Fe2+/mg)</t>
  </si>
  <si>
    <t>sum root weight in the 1.5 ml reaction volume [mg]</t>
  </si>
  <si>
    <t>Step d) Determine the number of Fe2+ generated in the reaction volume per root weight unit per time unit (1h)</t>
  </si>
  <si>
    <t>Amount of Fe2+ in the reaction 
volume normalized to the root length (mmol Fe2+/cm)</t>
  </si>
  <si>
    <t>Ferric reductase activity 
(nmol Fe2+/cm root/h)</t>
  </si>
  <si>
    <t>ferric reductase activity 
(nmol Fe2+/cm root/h) 
combined formula</t>
  </si>
  <si>
    <t>Ferric reductase activity 
(nmol Fe2+/mg root/h)</t>
  </si>
  <si>
    <t>Step a) Determine the 
concentration of reduced Fe2+ in the reaction solution:
Lambert-Beer law</t>
  </si>
  <si>
    <t>Lambert-Beer law: A = ℇcd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</si>
</sst>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E+00"/>
    <numFmt numFmtId="166" formatCode="0.0000"/>
  </numFmts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charset val="2"/>
    </font>
  </fonts>
  <fills count="1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ADFF2F"/>
        <bgColor indexed="64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</cellStyleXfs>
  <cellXfs count="34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164" fontId="0" fillId="0" borderId="0" xfId="0" applyNumberFormat="1"/>
    <xf numFmtId="0" fontId="0" fillId="9" borderId="0" xfId="0" applyFill="1" applyAlignment="1">
      <alignment wrapText="1"/>
    </xf>
    <xf numFmtId="0" fontId="2" fillId="0" borderId="0" xfId="0" applyFont="1"/>
    <xf numFmtId="0" fontId="0" fillId="10" borderId="0" xfId="0" applyFill="1" applyAlignment="1">
      <alignment wrapText="1"/>
    </xf>
    <xf numFmtId="0" fontId="0" fillId="11" borderId="0" xfId="0" applyFill="1" applyAlignment="1">
      <alignment wrapText="1"/>
    </xf>
    <xf numFmtId="165" fontId="0" fillId="0" borderId="0" xfId="0" applyNumberFormat="1"/>
    <xf numFmtId="0" fontId="0" fillId="12" borderId="0" xfId="0" applyFill="1" applyAlignment="1">
      <alignment wrapText="1"/>
    </xf>
    <xf numFmtId="49" fontId="0" fillId="0" borderId="2" xfId="0" applyNumberFormat="1" applyBorder="1" applyAlignment="1">
      <alignment horizontal="left"/>
    </xf>
    <xf numFmtId="0" fontId="0" fillId="0" borderId="2" xfId="0" applyBorder="1"/>
    <xf numFmtId="165" fontId="0" fillId="0" borderId="2" xfId="0" applyNumberFormat="1" applyBorder="1"/>
    <xf numFmtId="49" fontId="0" fillId="0" borderId="0" xfId="0" applyNumberFormat="1" applyAlignment="1">
      <alignment horizontal="left"/>
    </xf>
    <xf numFmtId="49" fontId="0" fillId="0" borderId="7" xfId="0" applyNumberFormat="1" applyBorder="1" applyAlignment="1">
      <alignment horizontal="left"/>
    </xf>
    <xf numFmtId="0" fontId="0" fillId="0" borderId="7" xfId="0" applyBorder="1"/>
    <xf numFmtId="165" fontId="0" fillId="0" borderId="7" xfId="0" applyNumberFormat="1" applyBorder="1"/>
    <xf numFmtId="166" fontId="0" fillId="0" borderId="2" xfId="0" applyNumberFormat="1" applyBorder="1"/>
    <xf numFmtId="166" fontId="0" fillId="0" borderId="0" xfId="0" applyNumberFormat="1"/>
    <xf numFmtId="166" fontId="0" fillId="0" borderId="7" xfId="0" applyNumberFormat="1" applyBorder="1"/>
    <xf numFmtId="166" fontId="0" fillId="0" borderId="5" xfId="0" applyNumberFormat="1" applyBorder="1"/>
    <xf numFmtId="0" fontId="3" fillId="0" borderId="0" xfId="0" applyFont="1"/>
    <xf numFmtId="166" fontId="0" fillId="0" borderId="8" xfId="0" applyNumberFormat="1" applyBorder="1"/>
    <xf numFmtId="166" fontId="0" fillId="0" borderId="3" xfId="0" applyNumberFormat="1" applyBorder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166" fontId="0" fillId="0" borderId="2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7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</cellXfs>
  <cellStyles count="8">
    <cellStyle name="Standard" xfId="0" builtinId="0"/>
    <cellStyle name="Tecan.At.Excel.Attenuation" xfId="6" xr:uid="{00000000-0005-0000-0000-000001000000}"/>
    <cellStyle name="Tecan.At.Excel.AutoGain_0" xfId="7" xr:uid="{00000000-0005-0000-0000-000002000000}"/>
    <cellStyle name="Tecan.At.Excel.Error" xfId="1" xr:uid="{00000000-0005-0000-0000-000003000000}"/>
    <cellStyle name="Tecan.At.Excel.GFactorAndMeasurementBlank" xfId="5" xr:uid="{00000000-0005-0000-0000-000004000000}"/>
    <cellStyle name="Tecan.At.Excel.GFactorBlank" xfId="3" xr:uid="{00000000-0005-0000-0000-000005000000}"/>
    <cellStyle name="Tecan.At.Excel.GFactorReference" xfId="4" xr:uid="{00000000-0005-0000-0000-000006000000}"/>
    <cellStyle name="Tecan.At.Excel.MeasurementBlank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Ferric reductase activity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calculations_6d!$I$16</c:f>
              <c:strCache>
                <c:ptCount val="1"/>
                <c:pt idx="0">
                  <c:v>Ferric reductase activity 
(nmol Fe2+/cm root/h)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F3DC-4A7A-A03A-6F1EAEA67394}"/>
              </c:ext>
            </c:extLst>
          </c:dPt>
          <c:dPt>
            <c:idx val="1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3DC-4A7A-A03A-6F1EAEA67394}"/>
              </c:ext>
            </c:extLst>
          </c:dPt>
          <c:errBars>
            <c:errBarType val="both"/>
            <c:errValType val="cust"/>
            <c:noEndCap val="0"/>
            <c:plus>
              <c:numRef>
                <c:f>calculations_6d!$J$17:$J$18</c:f>
                <c:numCache>
                  <c:formatCode>General</c:formatCode>
                  <c:ptCount val="2"/>
                  <c:pt idx="0">
                    <c:v>1.2535068532155047E-2</c:v>
                  </c:pt>
                  <c:pt idx="1">
                    <c:v>3.6236793616616234E-2</c:v>
                  </c:pt>
                </c:numCache>
              </c:numRef>
            </c:plus>
            <c:minus>
              <c:numRef>
                <c:f>calculations_6d!$J$17:$J$18</c:f>
                <c:numCache>
                  <c:formatCode>General</c:formatCode>
                  <c:ptCount val="2"/>
                  <c:pt idx="0">
                    <c:v>1.2535068532155047E-2</c:v>
                  </c:pt>
                  <c:pt idx="1">
                    <c:v>3.6236793616616234E-2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calculations_6d!$H$17:$H$18</c:f>
              <c:strCache>
                <c:ptCount val="2"/>
                <c:pt idx="0">
                  <c:v>50 µM Fe</c:v>
                </c:pt>
                <c:pt idx="1">
                  <c:v>0 µM Fe</c:v>
                </c:pt>
              </c:strCache>
            </c:strRef>
          </c:cat>
          <c:val>
            <c:numRef>
              <c:f>calculations_6d!$I$17:$I$18</c:f>
              <c:numCache>
                <c:formatCode>0.0000</c:formatCode>
                <c:ptCount val="2"/>
                <c:pt idx="0">
                  <c:v>0.1058709990472376</c:v>
                </c:pt>
                <c:pt idx="1">
                  <c:v>0.27048353573221656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DC-4A7A-A03A-6F1EAEA67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9395871"/>
        <c:axId val="1009407935"/>
      </c:barChart>
      <c:catAx>
        <c:axId val="1009395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09407935"/>
        <c:crosses val="autoZero"/>
        <c:auto val="1"/>
        <c:lblAlgn val="ctr"/>
        <c:lblOffset val="100"/>
        <c:noMultiLvlLbl val="0"/>
      </c:catAx>
      <c:valAx>
        <c:axId val="1009407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Ferric reductase activity</a:t>
                </a:r>
                <a:r>
                  <a:rPr lang="de-DE" baseline="0"/>
                  <a:t> </a:t>
                </a:r>
              </a:p>
              <a:p>
                <a:pPr>
                  <a:defRPr/>
                </a:pPr>
                <a:r>
                  <a:rPr lang="de-DE" baseline="0"/>
                  <a:t>[nmol Fe</a:t>
                </a:r>
                <a:r>
                  <a:rPr lang="de-DE" baseline="30000"/>
                  <a:t>2+</a:t>
                </a:r>
                <a:r>
                  <a:rPr lang="de-DE" baseline="0"/>
                  <a:t>*h</a:t>
                </a:r>
                <a:r>
                  <a:rPr lang="de-DE" baseline="30000"/>
                  <a:t>-1</a:t>
                </a:r>
                <a:r>
                  <a:rPr lang="de-DE" baseline="0"/>
                  <a:t>*cm</a:t>
                </a:r>
                <a:r>
                  <a:rPr lang="de-DE" baseline="30000"/>
                  <a:t>-1</a:t>
                </a:r>
                <a:r>
                  <a:rPr lang="de-DE" baseline="0"/>
                  <a:t>]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093958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Ferric reductase activity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'calculations_14+3d'!$I$14</c:f>
              <c:strCache>
                <c:ptCount val="1"/>
                <c:pt idx="0">
                  <c:v>Ferric reductase activity 
(nmol Fe2+/mg root/h)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F1-419E-A2D5-751F54ECE226}"/>
              </c:ext>
            </c:extLst>
          </c:dPt>
          <c:dPt>
            <c:idx val="1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F1-419E-A2D5-751F54ECE226}"/>
              </c:ext>
            </c:extLst>
          </c:dPt>
          <c:errBars>
            <c:errBarType val="both"/>
            <c:errValType val="cust"/>
            <c:noEndCap val="0"/>
            <c:plus>
              <c:numRef>
                <c:f>'calculations_14+3d'!$J$15:$J$16</c:f>
                <c:numCache>
                  <c:formatCode>General</c:formatCode>
                  <c:ptCount val="2"/>
                  <c:pt idx="0">
                    <c:v>3.7105081924611816E-2</c:v>
                  </c:pt>
                  <c:pt idx="1">
                    <c:v>0.15779016951893779</c:v>
                  </c:pt>
                </c:numCache>
              </c:numRef>
            </c:plus>
            <c:minus>
              <c:numRef>
                <c:f>'calculations_14+3d'!$J$15:$J$16</c:f>
                <c:numCache>
                  <c:formatCode>General</c:formatCode>
                  <c:ptCount val="2"/>
                  <c:pt idx="0">
                    <c:v>3.7105081924611816E-2</c:v>
                  </c:pt>
                  <c:pt idx="1">
                    <c:v>0.15779016951893779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'calculations_14+3d'!$H$15:$H$16</c:f>
              <c:strCache>
                <c:ptCount val="2"/>
                <c:pt idx="0">
                  <c:v>50 µM Fe</c:v>
                </c:pt>
                <c:pt idx="1">
                  <c:v>0 µM Fe</c:v>
                </c:pt>
              </c:strCache>
            </c:strRef>
          </c:cat>
          <c:val>
            <c:numRef>
              <c:f>'calculations_14+3d'!$I$15:$I$16</c:f>
              <c:numCache>
                <c:formatCode>0.0000</c:formatCode>
                <c:ptCount val="2"/>
                <c:pt idx="0">
                  <c:v>0.33695604195821427</c:v>
                </c:pt>
                <c:pt idx="1">
                  <c:v>1.0167044505626668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1-419E-A2D5-751F54ECE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9395871"/>
        <c:axId val="1009407935"/>
      </c:barChart>
      <c:catAx>
        <c:axId val="1009395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09407935"/>
        <c:crosses val="autoZero"/>
        <c:auto val="1"/>
        <c:lblAlgn val="ctr"/>
        <c:lblOffset val="100"/>
        <c:noMultiLvlLbl val="0"/>
      </c:catAx>
      <c:valAx>
        <c:axId val="1009407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Ferric reductase activity</a:t>
                </a:r>
                <a:r>
                  <a:rPr lang="de-DE" baseline="0"/>
                  <a:t> </a:t>
                </a:r>
              </a:p>
              <a:p>
                <a:pPr>
                  <a:defRPr/>
                </a:pPr>
                <a:r>
                  <a:rPr lang="de-DE" baseline="0"/>
                  <a:t>[nmol Fe</a:t>
                </a:r>
                <a:r>
                  <a:rPr lang="de-DE" baseline="30000"/>
                  <a:t>2+</a:t>
                </a:r>
                <a:r>
                  <a:rPr lang="de-DE" baseline="0"/>
                  <a:t>*h</a:t>
                </a:r>
                <a:r>
                  <a:rPr lang="de-DE" baseline="30000"/>
                  <a:t>-1</a:t>
                </a:r>
                <a:r>
                  <a:rPr lang="de-DE" baseline="0"/>
                  <a:t>*mg</a:t>
                </a:r>
                <a:r>
                  <a:rPr lang="de-DE" baseline="30000"/>
                  <a:t>-1</a:t>
                </a:r>
                <a:r>
                  <a:rPr lang="de-DE" baseline="0"/>
                  <a:t>]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093958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13</xdr:row>
      <xdr:rowOff>14287</xdr:rowOff>
    </xdr:from>
    <xdr:to>
      <xdr:col>11</xdr:col>
      <xdr:colOff>1219200</xdr:colOff>
      <xdr:row>26</xdr:row>
      <xdr:rowOff>90487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58F7BEF-6987-4F0F-832B-E798E78535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11</xdr:row>
      <xdr:rowOff>4762</xdr:rowOff>
    </xdr:from>
    <xdr:to>
      <xdr:col>11</xdr:col>
      <xdr:colOff>1171575</xdr:colOff>
      <xdr:row>24</xdr:row>
      <xdr:rowOff>80962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F8A116A-C646-4A91-BB66-03EB17E9F5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workbookViewId="0">
      <selection activeCell="E21" sqref="E21"/>
    </sheetView>
  </sheetViews>
  <sheetFormatPr baseColWidth="10" defaultColWidth="9.1640625" defaultRowHeight="15" x14ac:dyDescent="0.2"/>
  <cols>
    <col min="1" max="1" width="11.33203125" customWidth="1"/>
    <col min="2" max="2" width="12.5" customWidth="1"/>
    <col min="3" max="3" width="9.6640625" customWidth="1"/>
    <col min="4" max="4" width="10.5" bestFit="1" customWidth="1"/>
    <col min="5" max="5" width="17" bestFit="1" customWidth="1"/>
    <col min="6" max="6" width="27" customWidth="1"/>
    <col min="7" max="7" width="27.5" customWidth="1"/>
    <col min="8" max="8" width="13.33203125" customWidth="1"/>
    <col min="9" max="10" width="29.83203125" customWidth="1"/>
    <col min="11" max="11" width="51.1640625" customWidth="1"/>
    <col min="12" max="12" width="28.5" customWidth="1"/>
    <col min="13" max="13" width="24.83203125" customWidth="1"/>
  </cols>
  <sheetData>
    <row r="1" spans="1:19" ht="64" x14ac:dyDescent="0.2">
      <c r="F1" s="4" t="s">
        <v>49</v>
      </c>
      <c r="G1" s="6" t="s">
        <v>27</v>
      </c>
      <c r="I1" s="7" t="s">
        <v>16</v>
      </c>
      <c r="J1" s="9" t="s">
        <v>17</v>
      </c>
      <c r="K1" s="9" t="s">
        <v>39</v>
      </c>
      <c r="L1" s="1" t="s">
        <v>20</v>
      </c>
      <c r="M1" s="1" t="s">
        <v>21</v>
      </c>
    </row>
    <row r="2" spans="1:19" ht="48" x14ac:dyDescent="0.2">
      <c r="A2" t="s">
        <v>0</v>
      </c>
      <c r="B2" t="s">
        <v>8</v>
      </c>
      <c r="C2" t="s">
        <v>3</v>
      </c>
      <c r="D2" t="s">
        <v>1</v>
      </c>
      <c r="E2" t="s">
        <v>2</v>
      </c>
      <c r="F2" s="1" t="s">
        <v>15</v>
      </c>
      <c r="G2" s="1" t="s">
        <v>19</v>
      </c>
      <c r="H2" s="1" t="s">
        <v>11</v>
      </c>
      <c r="I2" s="1" t="s">
        <v>45</v>
      </c>
      <c r="J2" s="1" t="s">
        <v>5</v>
      </c>
      <c r="K2" s="1" t="s">
        <v>6</v>
      </c>
      <c r="L2" s="1" t="s">
        <v>12</v>
      </c>
      <c r="M2" t="s">
        <v>4</v>
      </c>
      <c r="P2" s="27"/>
      <c r="Q2" s="27"/>
    </row>
    <row r="3" spans="1:19" x14ac:dyDescent="0.2">
      <c r="A3" s="24" t="s">
        <v>7</v>
      </c>
      <c r="B3" s="10" t="s">
        <v>9</v>
      </c>
      <c r="C3" s="11">
        <v>1</v>
      </c>
      <c r="D3" s="11">
        <v>6.1599999666213989E-2</v>
      </c>
      <c r="E3" s="11">
        <f>D3-0.0424</f>
        <v>1.9199999666213989E-2</v>
      </c>
      <c r="F3" s="11">
        <f>E3/(28.6*1)</f>
        <v>6.7132865965783173E-4</v>
      </c>
      <c r="G3" s="11">
        <f>F3*0.001</f>
        <v>6.7132865965783175E-7</v>
      </c>
      <c r="H3" s="11">
        <v>5.681</v>
      </c>
      <c r="I3" s="11">
        <f>G3/1/H3</f>
        <v>1.1817086070371973E-7</v>
      </c>
      <c r="J3" s="12">
        <f>I3/1</f>
        <v>1.1817086070371973E-7</v>
      </c>
      <c r="K3" s="17">
        <f>J3*1000*1000</f>
        <v>0.11817086070371972</v>
      </c>
      <c r="L3" s="28">
        <f>AVERAGE(K3:K7)</f>
        <v>0.1058709990472376</v>
      </c>
      <c r="M3" s="31">
        <f>_xlfn.STDEV.P(K3:K7)</f>
        <v>1.2535068532155047E-2</v>
      </c>
      <c r="P3" s="2"/>
      <c r="Q3" s="2"/>
    </row>
    <row r="4" spans="1:19" x14ac:dyDescent="0.2">
      <c r="A4" s="25"/>
      <c r="B4" s="13" t="s">
        <v>9</v>
      </c>
      <c r="C4">
        <v>2</v>
      </c>
      <c r="D4">
        <v>6.3000001013278961E-2</v>
      </c>
      <c r="E4">
        <f t="shared" ref="E4:E12" si="0">D4-0.0424</f>
        <v>2.0600001013278961E-2</v>
      </c>
      <c r="F4">
        <f t="shared" ref="F4:F12" si="1">E4/(28.6*1)</f>
        <v>7.2027975570905457E-4</v>
      </c>
      <c r="G4">
        <f t="shared" ref="G4:G12" si="2">F4*0.001</f>
        <v>7.2027975570905462E-7</v>
      </c>
      <c r="H4">
        <v>6.7949999999999999</v>
      </c>
      <c r="I4">
        <f t="shared" ref="I4:I12" si="3">G4/1/H4</f>
        <v>1.0600143571877183E-7</v>
      </c>
      <c r="J4" s="8">
        <f t="shared" ref="J4:J12" si="4">I4/1</f>
        <v>1.0600143571877183E-7</v>
      </c>
      <c r="K4" s="18">
        <f t="shared" ref="K4:K12" si="5">J4*1000*1000</f>
        <v>0.10600143571877182</v>
      </c>
      <c r="L4" s="29"/>
      <c r="M4" s="32"/>
      <c r="P4" s="3"/>
      <c r="Q4" s="3"/>
      <c r="R4" s="3"/>
      <c r="S4" s="3"/>
    </row>
    <row r="5" spans="1:19" x14ac:dyDescent="0.2">
      <c r="A5" s="25"/>
      <c r="B5" s="13" t="s">
        <v>9</v>
      </c>
      <c r="C5">
        <v>3</v>
      </c>
      <c r="D5">
        <v>5.6699998676776886E-2</v>
      </c>
      <c r="E5">
        <f t="shared" si="0"/>
        <v>1.4299998676776886E-2</v>
      </c>
      <c r="F5">
        <f t="shared" si="1"/>
        <v>4.9999995373345755E-4</v>
      </c>
      <c r="G5">
        <f t="shared" si="2"/>
        <v>4.999999537334576E-7</v>
      </c>
      <c r="H5">
        <v>6.0359999999999996</v>
      </c>
      <c r="I5">
        <f t="shared" si="3"/>
        <v>8.2836307775589401E-8</v>
      </c>
      <c r="J5" s="8">
        <f t="shared" si="4"/>
        <v>8.2836307775589401E-8</v>
      </c>
      <c r="K5" s="18">
        <f t="shared" si="5"/>
        <v>8.2836307775589396E-2</v>
      </c>
      <c r="L5" s="29"/>
      <c r="M5" s="32"/>
      <c r="P5" s="3"/>
      <c r="Q5" s="3"/>
      <c r="R5" s="3"/>
      <c r="S5" s="3"/>
    </row>
    <row r="6" spans="1:19" x14ac:dyDescent="0.2">
      <c r="A6" s="25"/>
      <c r="B6" s="13" t="s">
        <v>9</v>
      </c>
      <c r="C6">
        <v>4</v>
      </c>
      <c r="D6">
        <v>6.1099998652935028E-2</v>
      </c>
      <c r="E6">
        <f t="shared" si="0"/>
        <v>1.8699998652935028E-2</v>
      </c>
      <c r="F6">
        <f t="shared" si="1"/>
        <v>6.5384610674597992E-4</v>
      </c>
      <c r="G6">
        <f t="shared" si="2"/>
        <v>6.5384610674597996E-7</v>
      </c>
      <c r="H6">
        <v>6.1509999999999998</v>
      </c>
      <c r="I6">
        <f t="shared" si="3"/>
        <v>1.0629915570573565E-7</v>
      </c>
      <c r="J6" s="8">
        <f t="shared" si="4"/>
        <v>1.0629915570573565E-7</v>
      </c>
      <c r="K6" s="18">
        <f t="shared" si="5"/>
        <v>0.10629915570573566</v>
      </c>
      <c r="L6" s="29"/>
      <c r="M6" s="32"/>
      <c r="P6" s="3"/>
      <c r="Q6" s="3"/>
      <c r="R6" s="3"/>
      <c r="S6" s="3"/>
    </row>
    <row r="7" spans="1:19" x14ac:dyDescent="0.2">
      <c r="A7" s="26"/>
      <c r="B7" s="14" t="s">
        <v>9</v>
      </c>
      <c r="C7" s="15">
        <v>5</v>
      </c>
      <c r="D7" s="15">
        <v>6.2399998307228088E-2</v>
      </c>
      <c r="E7" s="15">
        <f t="shared" si="0"/>
        <v>1.9999998307228088E-2</v>
      </c>
      <c r="F7" s="15">
        <f t="shared" si="1"/>
        <v>6.9930064011287018E-4</v>
      </c>
      <c r="G7" s="15">
        <f t="shared" si="2"/>
        <v>6.9930064011287022E-7</v>
      </c>
      <c r="H7" s="15">
        <v>6.0259999999999998</v>
      </c>
      <c r="I7" s="15">
        <f t="shared" si="3"/>
        <v>1.1604723533237143E-7</v>
      </c>
      <c r="J7" s="16">
        <f t="shared" si="4"/>
        <v>1.1604723533237143E-7</v>
      </c>
      <c r="K7" s="19">
        <f t="shared" si="5"/>
        <v>0.11604723533237142</v>
      </c>
      <c r="L7" s="30"/>
      <c r="M7" s="33"/>
      <c r="P7" s="3"/>
      <c r="Q7" s="3"/>
      <c r="R7" s="3"/>
      <c r="S7" s="3"/>
    </row>
    <row r="8" spans="1:19" x14ac:dyDescent="0.2">
      <c r="A8" s="24" t="s">
        <v>7</v>
      </c>
      <c r="B8" s="10" t="s">
        <v>10</v>
      </c>
      <c r="C8" s="11">
        <v>1</v>
      </c>
      <c r="D8" s="11">
        <v>0.12430000305175781</v>
      </c>
      <c r="E8" s="11">
        <f t="shared" si="0"/>
        <v>8.1900003051757819E-2</v>
      </c>
      <c r="F8" s="11">
        <f t="shared" si="1"/>
        <v>2.8636364703411824E-3</v>
      </c>
      <c r="G8" s="11">
        <f t="shared" si="2"/>
        <v>2.8636364703411823E-6</v>
      </c>
      <c r="H8" s="11">
        <v>9.07</v>
      </c>
      <c r="I8" s="11">
        <f t="shared" si="3"/>
        <v>3.1572618195602888E-7</v>
      </c>
      <c r="J8" s="12">
        <f t="shared" si="4"/>
        <v>3.1572618195602888E-7</v>
      </c>
      <c r="K8" s="17">
        <f t="shared" si="5"/>
        <v>0.31572618195602886</v>
      </c>
      <c r="L8" s="28">
        <f>AVERAGE(K8:K12)</f>
        <v>0.27048353573221656</v>
      </c>
      <c r="M8" s="31">
        <f>_xlfn.STDEV.P(K8:K12)</f>
        <v>3.6236793616616234E-2</v>
      </c>
      <c r="P8" s="3"/>
      <c r="Q8" s="3"/>
      <c r="R8" s="3"/>
      <c r="S8" s="3"/>
    </row>
    <row r="9" spans="1:19" x14ac:dyDescent="0.2">
      <c r="A9" s="25"/>
      <c r="B9" s="13" t="s">
        <v>10</v>
      </c>
      <c r="C9">
        <v>2</v>
      </c>
      <c r="D9">
        <v>9.2799998819828033E-2</v>
      </c>
      <c r="E9">
        <f t="shared" si="0"/>
        <v>5.0399998819828033E-2</v>
      </c>
      <c r="F9">
        <f t="shared" si="1"/>
        <v>1.7622377209730081E-3</v>
      </c>
      <c r="G9">
        <f t="shared" si="2"/>
        <v>1.7622377209730082E-6</v>
      </c>
      <c r="H9">
        <v>8.4329999999999998</v>
      </c>
      <c r="I9">
        <f t="shared" si="3"/>
        <v>2.0896925423609727E-7</v>
      </c>
      <c r="J9" s="8">
        <f t="shared" si="4"/>
        <v>2.0896925423609727E-7</v>
      </c>
      <c r="K9" s="18">
        <f t="shared" si="5"/>
        <v>0.20896925423609727</v>
      </c>
      <c r="L9" s="29"/>
      <c r="M9" s="32"/>
      <c r="P9" s="3"/>
      <c r="Q9" s="3"/>
      <c r="R9" s="3"/>
      <c r="S9" s="3"/>
    </row>
    <row r="10" spans="1:19" x14ac:dyDescent="0.2">
      <c r="A10" s="25"/>
      <c r="B10" s="13" t="s">
        <v>10</v>
      </c>
      <c r="C10">
        <v>3</v>
      </c>
      <c r="D10">
        <v>0.11150000244379044</v>
      </c>
      <c r="E10">
        <f t="shared" si="0"/>
        <v>6.9100002443790443E-2</v>
      </c>
      <c r="F10">
        <f t="shared" si="1"/>
        <v>2.4160840015311344E-3</v>
      </c>
      <c r="G10">
        <f t="shared" si="2"/>
        <v>2.4160840015311345E-6</v>
      </c>
      <c r="H10">
        <v>8.5890000000000004</v>
      </c>
      <c r="I10">
        <f t="shared" si="3"/>
        <v>2.812998022506851E-7</v>
      </c>
      <c r="J10" s="8">
        <f t="shared" si="4"/>
        <v>2.812998022506851E-7</v>
      </c>
      <c r="K10" s="18">
        <f t="shared" si="5"/>
        <v>0.28129980225068507</v>
      </c>
      <c r="L10" s="29"/>
      <c r="M10" s="32"/>
    </row>
    <row r="11" spans="1:19" x14ac:dyDescent="0.2">
      <c r="A11" s="25"/>
      <c r="B11" s="13" t="s">
        <v>10</v>
      </c>
      <c r="C11">
        <v>4</v>
      </c>
      <c r="D11">
        <v>0.10920000076293945</v>
      </c>
      <c r="E11">
        <f t="shared" si="0"/>
        <v>6.680000076293946E-2</v>
      </c>
      <c r="F11">
        <f t="shared" si="1"/>
        <v>2.3356643623405403E-3</v>
      </c>
      <c r="G11">
        <f t="shared" si="2"/>
        <v>2.3356643623405403E-6</v>
      </c>
      <c r="H11">
        <v>9.1289999999999996</v>
      </c>
      <c r="I11">
        <f t="shared" si="3"/>
        <v>2.5585106389971961E-7</v>
      </c>
      <c r="J11" s="8">
        <f t="shared" si="4"/>
        <v>2.5585106389971961E-7</v>
      </c>
      <c r="K11" s="18">
        <f t="shared" si="5"/>
        <v>0.25585106389971962</v>
      </c>
      <c r="L11" s="29"/>
      <c r="M11" s="32"/>
    </row>
    <row r="12" spans="1:19" x14ac:dyDescent="0.2">
      <c r="A12" s="26"/>
      <c r="B12" s="14" t="s">
        <v>10</v>
      </c>
      <c r="C12" s="15">
        <v>5</v>
      </c>
      <c r="D12" s="15">
        <v>0.1177000030875206</v>
      </c>
      <c r="E12" s="15">
        <f t="shared" si="0"/>
        <v>7.5300003087520606E-2</v>
      </c>
      <c r="F12" s="15">
        <f t="shared" si="1"/>
        <v>2.6328672408223986E-3</v>
      </c>
      <c r="G12" s="15">
        <f t="shared" si="2"/>
        <v>2.6328672408223987E-6</v>
      </c>
      <c r="H12" s="15">
        <v>9.0609999999999999</v>
      </c>
      <c r="I12" s="15">
        <f t="shared" si="3"/>
        <v>2.9057137631855189E-7</v>
      </c>
      <c r="J12" s="16">
        <f t="shared" si="4"/>
        <v>2.9057137631855189E-7</v>
      </c>
      <c r="K12" s="19">
        <f t="shared" si="5"/>
        <v>0.2905713763185519</v>
      </c>
      <c r="L12" s="30"/>
      <c r="M12" s="33"/>
    </row>
    <row r="14" spans="1:19" x14ac:dyDescent="0.2">
      <c r="A14" t="s">
        <v>18</v>
      </c>
    </row>
    <row r="15" spans="1:19" x14ac:dyDescent="0.2">
      <c r="A15" t="s">
        <v>34</v>
      </c>
    </row>
    <row r="16" spans="1:19" ht="32" x14ac:dyDescent="0.2">
      <c r="I16" s="1" t="s">
        <v>46</v>
      </c>
      <c r="J16" t="s">
        <v>4</v>
      </c>
    </row>
    <row r="17" spans="1:10" x14ac:dyDescent="0.2">
      <c r="A17" t="s">
        <v>50</v>
      </c>
      <c r="H17" t="s">
        <v>22</v>
      </c>
      <c r="I17" s="18">
        <f>L3</f>
        <v>0.1058709990472376</v>
      </c>
      <c r="J17" s="3">
        <f>M3</f>
        <v>1.2535068532155047E-2</v>
      </c>
    </row>
    <row r="18" spans="1:10" x14ac:dyDescent="0.2">
      <c r="A18" t="s">
        <v>14</v>
      </c>
      <c r="H18" t="s">
        <v>13</v>
      </c>
      <c r="I18" s="18">
        <f>L8</f>
        <v>0.27048353573221656</v>
      </c>
      <c r="J18" s="3">
        <f>M8</f>
        <v>3.6236793616616234E-2</v>
      </c>
    </row>
    <row r="19" spans="1:10" x14ac:dyDescent="0.2">
      <c r="A19" s="5" t="s">
        <v>38</v>
      </c>
    </row>
    <row r="20" spans="1:10" x14ac:dyDescent="0.2">
      <c r="A20" t="s">
        <v>28</v>
      </c>
    </row>
    <row r="29" spans="1:10" x14ac:dyDescent="0.2">
      <c r="A29" s="21" t="s">
        <v>35</v>
      </c>
    </row>
    <row r="30" spans="1:10" ht="96" x14ac:dyDescent="0.2">
      <c r="A30" t="s">
        <v>0</v>
      </c>
      <c r="B30" t="s">
        <v>8</v>
      </c>
      <c r="C30" t="s">
        <v>3</v>
      </c>
      <c r="D30" t="s">
        <v>1</v>
      </c>
      <c r="E30" t="s">
        <v>2</v>
      </c>
      <c r="F30" s="1" t="s">
        <v>11</v>
      </c>
      <c r="G30" s="1" t="s">
        <v>32</v>
      </c>
      <c r="H30" s="1" t="s">
        <v>47</v>
      </c>
    </row>
    <row r="31" spans="1:10" x14ac:dyDescent="0.2">
      <c r="A31" s="24" t="s">
        <v>7</v>
      </c>
      <c r="B31" s="10" t="s">
        <v>9</v>
      </c>
      <c r="C31" s="11">
        <v>1</v>
      </c>
      <c r="D31" s="11">
        <v>6.1599999666213989E-2</v>
      </c>
      <c r="E31" s="11">
        <f>D31-0.0424</f>
        <v>1.9199999666213989E-2</v>
      </c>
      <c r="F31" s="11">
        <v>5.681</v>
      </c>
      <c r="G31" s="12">
        <f>((E31/28.6*1*0.001*1))/(F31)</f>
        <v>1.1817086070371973E-7</v>
      </c>
      <c r="H31" s="23">
        <f>G31*1000*1000</f>
        <v>0.11817086070371972</v>
      </c>
    </row>
    <row r="32" spans="1:10" x14ac:dyDescent="0.2">
      <c r="A32" s="25"/>
      <c r="B32" s="13" t="s">
        <v>9</v>
      </c>
      <c r="C32">
        <v>2</v>
      </c>
      <c r="D32">
        <v>6.3000001013278961E-2</v>
      </c>
      <c r="E32">
        <f t="shared" ref="E32:E40" si="6">D32-0.0424</f>
        <v>2.0600001013278961E-2</v>
      </c>
      <c r="F32">
        <v>6.7949999999999999</v>
      </c>
      <c r="G32" s="8">
        <f t="shared" ref="G32:G40" si="7">((E32/28.6*1*0.001*1))/(F32)</f>
        <v>1.0600143571877183E-7</v>
      </c>
      <c r="H32" s="20">
        <f t="shared" ref="H32:H40" si="8">G32*1000*1000</f>
        <v>0.10600143571877182</v>
      </c>
    </row>
    <row r="33" spans="1:8" x14ac:dyDescent="0.2">
      <c r="A33" s="25"/>
      <c r="B33" s="13" t="s">
        <v>9</v>
      </c>
      <c r="C33">
        <v>3</v>
      </c>
      <c r="D33">
        <v>5.6699998676776886E-2</v>
      </c>
      <c r="E33">
        <f t="shared" si="6"/>
        <v>1.4299998676776886E-2</v>
      </c>
      <c r="F33">
        <v>6.0359999999999996</v>
      </c>
      <c r="G33" s="8">
        <f t="shared" si="7"/>
        <v>8.2836307775589401E-8</v>
      </c>
      <c r="H33" s="20">
        <f t="shared" si="8"/>
        <v>8.2836307775589396E-2</v>
      </c>
    </row>
    <row r="34" spans="1:8" x14ac:dyDescent="0.2">
      <c r="A34" s="25"/>
      <c r="B34" s="13" t="s">
        <v>9</v>
      </c>
      <c r="C34">
        <v>4</v>
      </c>
      <c r="D34">
        <v>6.1099998652935028E-2</v>
      </c>
      <c r="E34">
        <f t="shared" si="6"/>
        <v>1.8699998652935028E-2</v>
      </c>
      <c r="F34">
        <v>6.1509999999999998</v>
      </c>
      <c r="G34" s="8">
        <f t="shared" si="7"/>
        <v>1.0629915570573565E-7</v>
      </c>
      <c r="H34" s="20">
        <f t="shared" si="8"/>
        <v>0.10629915570573566</v>
      </c>
    </row>
    <row r="35" spans="1:8" x14ac:dyDescent="0.2">
      <c r="A35" s="26"/>
      <c r="B35" s="14" t="s">
        <v>9</v>
      </c>
      <c r="C35" s="15">
        <v>5</v>
      </c>
      <c r="D35" s="15">
        <v>6.2399998307228088E-2</v>
      </c>
      <c r="E35" s="15">
        <f t="shared" si="6"/>
        <v>1.9999998307228088E-2</v>
      </c>
      <c r="F35" s="15">
        <v>6.0259999999999998</v>
      </c>
      <c r="G35" s="16">
        <f t="shared" si="7"/>
        <v>1.1604723533237143E-7</v>
      </c>
      <c r="H35" s="22">
        <f t="shared" si="8"/>
        <v>0.11604723533237142</v>
      </c>
    </row>
    <row r="36" spans="1:8" x14ac:dyDescent="0.2">
      <c r="A36" s="24" t="s">
        <v>7</v>
      </c>
      <c r="B36" s="10" t="s">
        <v>10</v>
      </c>
      <c r="C36" s="11">
        <v>1</v>
      </c>
      <c r="D36" s="11">
        <v>0.12430000305175781</v>
      </c>
      <c r="E36" s="11">
        <f t="shared" si="6"/>
        <v>8.1900003051757819E-2</v>
      </c>
      <c r="F36" s="11">
        <v>9.07</v>
      </c>
      <c r="G36" s="12">
        <f t="shared" si="7"/>
        <v>3.1572618195602888E-7</v>
      </c>
      <c r="H36" s="23">
        <f t="shared" si="8"/>
        <v>0.31572618195602886</v>
      </c>
    </row>
    <row r="37" spans="1:8" x14ac:dyDescent="0.2">
      <c r="A37" s="25"/>
      <c r="B37" s="13" t="s">
        <v>10</v>
      </c>
      <c r="C37">
        <v>2</v>
      </c>
      <c r="D37">
        <v>9.2799998819828033E-2</v>
      </c>
      <c r="E37">
        <f t="shared" si="6"/>
        <v>5.0399998819828033E-2</v>
      </c>
      <c r="F37">
        <v>8.4329999999999998</v>
      </c>
      <c r="G37" s="8">
        <f t="shared" si="7"/>
        <v>2.0896925423609727E-7</v>
      </c>
      <c r="H37" s="20">
        <f t="shared" si="8"/>
        <v>0.20896925423609727</v>
      </c>
    </row>
    <row r="38" spans="1:8" x14ac:dyDescent="0.2">
      <c r="A38" s="25"/>
      <c r="B38" s="13" t="s">
        <v>10</v>
      </c>
      <c r="C38">
        <v>3</v>
      </c>
      <c r="D38">
        <v>0.11150000244379044</v>
      </c>
      <c r="E38">
        <f t="shared" si="6"/>
        <v>6.9100002443790443E-2</v>
      </c>
      <c r="F38">
        <v>8.5890000000000004</v>
      </c>
      <c r="G38" s="8">
        <f t="shared" si="7"/>
        <v>2.812998022506851E-7</v>
      </c>
      <c r="H38" s="20">
        <f t="shared" si="8"/>
        <v>0.28129980225068507</v>
      </c>
    </row>
    <row r="39" spans="1:8" x14ac:dyDescent="0.2">
      <c r="A39" s="25"/>
      <c r="B39" s="13" t="s">
        <v>10</v>
      </c>
      <c r="C39">
        <v>4</v>
      </c>
      <c r="D39">
        <v>0.10920000076293945</v>
      </c>
      <c r="E39">
        <f t="shared" si="6"/>
        <v>6.680000076293946E-2</v>
      </c>
      <c r="F39">
        <v>9.1289999999999996</v>
      </c>
      <c r="G39" s="8">
        <f t="shared" si="7"/>
        <v>2.5585106389971961E-7</v>
      </c>
      <c r="H39" s="20">
        <f t="shared" si="8"/>
        <v>0.25585106389971962</v>
      </c>
    </row>
    <row r="40" spans="1:8" x14ac:dyDescent="0.2">
      <c r="A40" s="26"/>
      <c r="B40" s="14" t="s">
        <v>10</v>
      </c>
      <c r="C40" s="15">
        <v>5</v>
      </c>
      <c r="D40" s="15">
        <v>0.1177000030875206</v>
      </c>
      <c r="E40" s="15">
        <f t="shared" si="6"/>
        <v>7.5300003087520606E-2</v>
      </c>
      <c r="F40" s="15">
        <v>9.0609999999999999</v>
      </c>
      <c r="G40" s="16">
        <f t="shared" si="7"/>
        <v>2.9057137631855189E-7</v>
      </c>
      <c r="H40" s="22">
        <f t="shared" si="8"/>
        <v>0.2905713763185519</v>
      </c>
    </row>
    <row r="44" spans="1:8" x14ac:dyDescent="0.2">
      <c r="G44" s="8"/>
    </row>
  </sheetData>
  <mergeCells count="9">
    <mergeCell ref="A36:A40"/>
    <mergeCell ref="A3:A7"/>
    <mergeCell ref="A8:A12"/>
    <mergeCell ref="A31:A35"/>
    <mergeCell ref="P2:Q2"/>
    <mergeCell ref="L3:L7"/>
    <mergeCell ref="M3:M7"/>
    <mergeCell ref="L8:L12"/>
    <mergeCell ref="M8:M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ABE6C-DD3D-4214-9DAA-978E014E4CE7}">
  <dimension ref="A1:S38"/>
  <sheetViews>
    <sheetView zoomScale="125" workbookViewId="0">
      <selection activeCell="B18" sqref="B18"/>
    </sheetView>
  </sheetViews>
  <sheetFormatPr baseColWidth="10" defaultColWidth="9.1640625" defaultRowHeight="15" x14ac:dyDescent="0.2"/>
  <cols>
    <col min="1" max="1" width="11.33203125" customWidth="1"/>
    <col min="2" max="2" width="12.5" customWidth="1"/>
    <col min="3" max="3" width="9.6640625" customWidth="1"/>
    <col min="4" max="4" width="10.5" bestFit="1" customWidth="1"/>
    <col min="5" max="5" width="17" bestFit="1" customWidth="1"/>
    <col min="6" max="6" width="27" customWidth="1"/>
    <col min="7" max="7" width="27.5" customWidth="1"/>
    <col min="8" max="8" width="13.33203125" customWidth="1"/>
    <col min="9" max="9" width="29.33203125" customWidth="1"/>
    <col min="10" max="10" width="29.83203125" customWidth="1"/>
    <col min="11" max="11" width="51.1640625" customWidth="1"/>
    <col min="12" max="12" width="28.5" customWidth="1"/>
    <col min="13" max="13" width="24.83203125" customWidth="1"/>
  </cols>
  <sheetData>
    <row r="1" spans="1:19" ht="64" x14ac:dyDescent="0.2">
      <c r="F1" s="4" t="s">
        <v>49</v>
      </c>
      <c r="G1" s="6" t="s">
        <v>26</v>
      </c>
      <c r="I1" s="7" t="s">
        <v>25</v>
      </c>
      <c r="J1" s="9" t="s">
        <v>44</v>
      </c>
      <c r="K1" s="9" t="s">
        <v>39</v>
      </c>
      <c r="L1" s="1" t="s">
        <v>20</v>
      </c>
      <c r="M1" s="1" t="s">
        <v>21</v>
      </c>
    </row>
    <row r="2" spans="1:19" ht="64" x14ac:dyDescent="0.2">
      <c r="A2" t="s">
        <v>0</v>
      </c>
      <c r="B2" t="s">
        <v>8</v>
      </c>
      <c r="C2" t="s">
        <v>3</v>
      </c>
      <c r="D2" t="s">
        <v>1</v>
      </c>
      <c r="E2" t="s">
        <v>2</v>
      </c>
      <c r="F2" s="1" t="s">
        <v>40</v>
      </c>
      <c r="G2" s="1" t="s">
        <v>19</v>
      </c>
      <c r="H2" s="1" t="s">
        <v>43</v>
      </c>
      <c r="I2" s="1" t="s">
        <v>42</v>
      </c>
      <c r="J2" s="1" t="s">
        <v>29</v>
      </c>
      <c r="K2" s="1" t="s">
        <v>30</v>
      </c>
      <c r="L2" s="1" t="s">
        <v>31</v>
      </c>
      <c r="M2" t="s">
        <v>4</v>
      </c>
      <c r="P2" s="27"/>
      <c r="Q2" s="27"/>
    </row>
    <row r="3" spans="1:19" x14ac:dyDescent="0.2">
      <c r="A3" s="24" t="s">
        <v>7</v>
      </c>
      <c r="B3" s="10" t="s">
        <v>9</v>
      </c>
      <c r="C3" s="11">
        <v>1</v>
      </c>
      <c r="D3" s="11">
        <v>0.11840000003576279</v>
      </c>
      <c r="E3" s="11">
        <f>D3-0.0406</f>
        <v>7.780000003576279E-2</v>
      </c>
      <c r="F3" s="11">
        <f>E3/(28.6*1)</f>
        <v>2.7202797215301671E-3</v>
      </c>
      <c r="G3" s="11">
        <f>F3*0.0015</f>
        <v>4.0804195822952511E-6</v>
      </c>
      <c r="H3" s="11">
        <v>11.4</v>
      </c>
      <c r="I3" s="11">
        <f>G3/H3</f>
        <v>3.5793154230660095E-7</v>
      </c>
      <c r="J3" s="12">
        <f>I3/1</f>
        <v>3.5793154230660095E-7</v>
      </c>
      <c r="K3" s="17">
        <f>J3*1000*1000</f>
        <v>0.35793154230660096</v>
      </c>
      <c r="L3" s="28">
        <f>AVERAGE(K3:K6)</f>
        <v>0.33695604195821427</v>
      </c>
      <c r="M3" s="31">
        <f>_xlfn.STDEV.P(K3:K6)</f>
        <v>3.7105081924611816E-2</v>
      </c>
      <c r="P3" s="2"/>
      <c r="Q3" s="2"/>
    </row>
    <row r="4" spans="1:19" x14ac:dyDescent="0.2">
      <c r="A4" s="25"/>
      <c r="B4" s="13" t="s">
        <v>9</v>
      </c>
      <c r="C4">
        <v>2</v>
      </c>
      <c r="D4">
        <v>8.4799997508525848E-2</v>
      </c>
      <c r="E4">
        <f t="shared" ref="E4:E10" si="0">D4-0.0406</f>
        <v>4.4199997508525851E-2</v>
      </c>
      <c r="F4">
        <f t="shared" ref="F4:F10" si="1">E4/(28.6*1)</f>
        <v>1.5454544583400646E-3</v>
      </c>
      <c r="G4">
        <f t="shared" ref="G4:G10" si="2">F4*0.0015</f>
        <v>2.3181816875100971E-6</v>
      </c>
      <c r="H4">
        <v>6.94</v>
      </c>
      <c r="I4">
        <f>G4/H4</f>
        <v>3.340319434452589E-7</v>
      </c>
      <c r="J4" s="8">
        <f t="shared" ref="J4:J10" si="3">I4/1</f>
        <v>3.340319434452589E-7</v>
      </c>
      <c r="K4" s="18">
        <f t="shared" ref="K4:K10" si="4">J4*1000*1000</f>
        <v>0.33403194344525894</v>
      </c>
      <c r="L4" s="29"/>
      <c r="M4" s="32"/>
      <c r="P4" s="3"/>
      <c r="Q4" s="3"/>
      <c r="R4" s="3"/>
      <c r="S4" s="3"/>
    </row>
    <row r="5" spans="1:19" x14ac:dyDescent="0.2">
      <c r="A5" s="25"/>
      <c r="B5" s="13" t="s">
        <v>9</v>
      </c>
      <c r="C5">
        <v>3</v>
      </c>
      <c r="D5">
        <v>7.5800001621246338E-2</v>
      </c>
      <c r="E5">
        <f t="shared" si="0"/>
        <v>3.5200001621246341E-2</v>
      </c>
      <c r="F5">
        <f t="shared" si="1"/>
        <v>1.2307692874561657E-3</v>
      </c>
      <c r="G5">
        <f t="shared" si="2"/>
        <v>1.8461539311842486E-6</v>
      </c>
      <c r="H5">
        <v>6.63</v>
      </c>
      <c r="I5">
        <f t="shared" ref="I5:I10" si="5">G5/H5</f>
        <v>2.7845458992220943E-7</v>
      </c>
      <c r="J5" s="8">
        <f t="shared" si="3"/>
        <v>2.7845458992220943E-7</v>
      </c>
      <c r="K5" s="18">
        <f t="shared" si="4"/>
        <v>0.27845458992220939</v>
      </c>
      <c r="L5" s="29"/>
      <c r="M5" s="32"/>
      <c r="P5" s="3"/>
      <c r="Q5" s="3"/>
      <c r="R5" s="3"/>
      <c r="S5" s="3"/>
    </row>
    <row r="6" spans="1:19" x14ac:dyDescent="0.2">
      <c r="A6" s="26"/>
      <c r="B6" s="14" t="s">
        <v>9</v>
      </c>
      <c r="C6" s="15">
        <v>4</v>
      </c>
      <c r="D6" s="15">
        <v>0.1103999987244606</v>
      </c>
      <c r="E6" s="15">
        <f t="shared" si="0"/>
        <v>6.9799998724460605E-2</v>
      </c>
      <c r="F6" s="15">
        <f t="shared" si="1"/>
        <v>2.4405593959601611E-3</v>
      </c>
      <c r="G6" s="15">
        <f t="shared" si="2"/>
        <v>3.6608390939402417E-6</v>
      </c>
      <c r="H6" s="15">
        <v>9.6999999999999993</v>
      </c>
      <c r="I6">
        <f t="shared" si="5"/>
        <v>3.7740609215878781E-7</v>
      </c>
      <c r="J6" s="16">
        <f t="shared" si="3"/>
        <v>3.7740609215878781E-7</v>
      </c>
      <c r="K6" s="19">
        <f t="shared" si="4"/>
        <v>0.37740609215878784</v>
      </c>
      <c r="L6" s="30"/>
      <c r="M6" s="33"/>
      <c r="P6" s="3"/>
      <c r="Q6" s="3"/>
      <c r="R6" s="3"/>
      <c r="S6" s="3"/>
    </row>
    <row r="7" spans="1:19" x14ac:dyDescent="0.2">
      <c r="A7" s="24" t="s">
        <v>7</v>
      </c>
      <c r="B7" s="10" t="s">
        <v>10</v>
      </c>
      <c r="C7" s="11">
        <v>1</v>
      </c>
      <c r="D7" s="11">
        <v>0.19290000200271606</v>
      </c>
      <c r="E7" s="11">
        <f t="shared" si="0"/>
        <v>0.15230000200271607</v>
      </c>
      <c r="F7" s="11">
        <f t="shared" si="1"/>
        <v>5.3251748951998624E-3</v>
      </c>
      <c r="G7" s="11">
        <f t="shared" si="2"/>
        <v>7.987762342799793E-6</v>
      </c>
      <c r="H7" s="11">
        <v>8.9600000000000009</v>
      </c>
      <c r="I7" s="11">
        <f t="shared" si="5"/>
        <v>8.9149133290176256E-7</v>
      </c>
      <c r="J7" s="12">
        <f t="shared" si="3"/>
        <v>8.9149133290176256E-7</v>
      </c>
      <c r="K7" s="17">
        <f t="shared" si="4"/>
        <v>0.89149133290176263</v>
      </c>
      <c r="L7" s="28">
        <f>AVERAGE(K7:K10)</f>
        <v>1.0167044505626668</v>
      </c>
      <c r="M7" s="31">
        <f>_xlfn.STDEV.P(K7:K10)</f>
        <v>0.15779016951893779</v>
      </c>
      <c r="P7" s="3"/>
      <c r="Q7" s="3"/>
      <c r="R7" s="3"/>
      <c r="S7" s="3"/>
    </row>
    <row r="8" spans="1:19" x14ac:dyDescent="0.2">
      <c r="A8" s="25"/>
      <c r="B8" s="13" t="s">
        <v>10</v>
      </c>
      <c r="C8">
        <v>2</v>
      </c>
      <c r="D8">
        <v>0.17170000076293945</v>
      </c>
      <c r="E8">
        <f t="shared" si="0"/>
        <v>0.13110000076293946</v>
      </c>
      <c r="F8">
        <f t="shared" si="1"/>
        <v>4.5839161105922883E-3</v>
      </c>
      <c r="G8">
        <f t="shared" si="2"/>
        <v>6.8758741658884324E-6</v>
      </c>
      <c r="H8">
        <v>8.02</v>
      </c>
      <c r="I8">
        <f t="shared" si="5"/>
        <v>8.5734091843995423E-7</v>
      </c>
      <c r="J8" s="8">
        <f t="shared" si="3"/>
        <v>8.5734091843995423E-7</v>
      </c>
      <c r="K8" s="18">
        <f t="shared" si="4"/>
        <v>0.85734091843995419</v>
      </c>
      <c r="L8" s="29"/>
      <c r="M8" s="32"/>
      <c r="P8" s="3"/>
      <c r="Q8" s="3"/>
      <c r="R8" s="3"/>
      <c r="S8" s="3"/>
    </row>
    <row r="9" spans="1:19" x14ac:dyDescent="0.2">
      <c r="A9" s="25"/>
      <c r="B9" s="13" t="s">
        <v>10</v>
      </c>
      <c r="C9">
        <v>3</v>
      </c>
      <c r="D9">
        <v>0.258899986743927</v>
      </c>
      <c r="E9">
        <f t="shared" si="0"/>
        <v>0.218299986743927</v>
      </c>
      <c r="F9">
        <f t="shared" si="1"/>
        <v>7.6328666693680769E-3</v>
      </c>
      <c r="G9">
        <f t="shared" si="2"/>
        <v>1.1449300004052115E-5</v>
      </c>
      <c r="H9">
        <v>10.76</v>
      </c>
      <c r="I9">
        <f t="shared" si="5"/>
        <v>1.0640613386665534E-6</v>
      </c>
      <c r="J9" s="8">
        <f t="shared" si="3"/>
        <v>1.0640613386665534E-6</v>
      </c>
      <c r="K9" s="18">
        <f t="shared" si="4"/>
        <v>1.0640613386665534</v>
      </c>
      <c r="L9" s="29"/>
      <c r="M9" s="32"/>
    </row>
    <row r="10" spans="1:19" x14ac:dyDescent="0.2">
      <c r="A10" s="26"/>
      <c r="B10" s="14" t="s">
        <v>10</v>
      </c>
      <c r="C10" s="15">
        <v>4</v>
      </c>
      <c r="D10" s="15">
        <v>0.29570001363754272</v>
      </c>
      <c r="E10" s="15">
        <f t="shared" si="0"/>
        <v>0.25510001363754276</v>
      </c>
      <c r="F10" s="15">
        <f t="shared" si="1"/>
        <v>8.9195808964175789E-3</v>
      </c>
      <c r="G10" s="15">
        <f t="shared" si="2"/>
        <v>1.3379371344626369E-5</v>
      </c>
      <c r="H10" s="15">
        <v>10.67</v>
      </c>
      <c r="I10" s="15">
        <f t="shared" si="5"/>
        <v>1.2539242122423964E-6</v>
      </c>
      <c r="J10" s="16">
        <f t="shared" si="3"/>
        <v>1.2539242122423964E-6</v>
      </c>
      <c r="K10" s="19">
        <f t="shared" si="4"/>
        <v>1.2539242122423964</v>
      </c>
      <c r="L10" s="30"/>
      <c r="M10" s="33"/>
    </row>
    <row r="12" spans="1:19" x14ac:dyDescent="0.2">
      <c r="A12" t="s">
        <v>24</v>
      </c>
    </row>
    <row r="13" spans="1:19" x14ac:dyDescent="0.2">
      <c r="A13" t="s">
        <v>33</v>
      </c>
    </row>
    <row r="14" spans="1:19" ht="32" x14ac:dyDescent="0.2">
      <c r="I14" s="1" t="s">
        <v>48</v>
      </c>
      <c r="J14" t="s">
        <v>4</v>
      </c>
    </row>
    <row r="15" spans="1:19" x14ac:dyDescent="0.2">
      <c r="A15" t="s">
        <v>50</v>
      </c>
      <c r="C15" t="s">
        <v>41</v>
      </c>
      <c r="H15" t="s">
        <v>22</v>
      </c>
      <c r="I15" s="18">
        <f>L3</f>
        <v>0.33695604195821427</v>
      </c>
      <c r="J15" s="3">
        <f>M3</f>
        <v>3.7105081924611816E-2</v>
      </c>
    </row>
    <row r="16" spans="1:19" x14ac:dyDescent="0.2">
      <c r="A16" t="s">
        <v>14</v>
      </c>
      <c r="H16" t="s">
        <v>13</v>
      </c>
      <c r="I16" s="18">
        <f>L7</f>
        <v>1.0167044505626668</v>
      </c>
      <c r="J16" s="3">
        <f>M7</f>
        <v>0.15779016951893779</v>
      </c>
    </row>
    <row r="17" spans="1:8" x14ac:dyDescent="0.2">
      <c r="A17" s="5" t="s">
        <v>38</v>
      </c>
    </row>
    <row r="18" spans="1:8" x14ac:dyDescent="0.2">
      <c r="A18" t="s">
        <v>28</v>
      </c>
    </row>
    <row r="29" spans="1:8" x14ac:dyDescent="0.2">
      <c r="A29" s="21" t="s">
        <v>35</v>
      </c>
    </row>
    <row r="30" spans="1:8" ht="96" x14ac:dyDescent="0.2">
      <c r="A30" t="s">
        <v>0</v>
      </c>
      <c r="B30" t="s">
        <v>8</v>
      </c>
      <c r="C30" t="s">
        <v>3</v>
      </c>
      <c r="D30" t="s">
        <v>1</v>
      </c>
      <c r="E30" t="s">
        <v>2</v>
      </c>
      <c r="F30" s="1" t="s">
        <v>23</v>
      </c>
      <c r="G30" s="1" t="s">
        <v>36</v>
      </c>
      <c r="H30" s="1" t="s">
        <v>37</v>
      </c>
    </row>
    <row r="31" spans="1:8" x14ac:dyDescent="0.2">
      <c r="A31" s="24" t="s">
        <v>7</v>
      </c>
      <c r="B31" s="10" t="s">
        <v>9</v>
      </c>
      <c r="C31" s="11">
        <v>1</v>
      </c>
      <c r="D31" s="11">
        <v>0.11840000003576279</v>
      </c>
      <c r="E31" s="11">
        <f>D31-0.0406</f>
        <v>7.780000003576279E-2</v>
      </c>
      <c r="F31" s="11">
        <v>11.4</v>
      </c>
      <c r="G31" s="12">
        <f>((E31/28.6*1*0.0015*1))/(F31)</f>
        <v>3.5793154230660095E-7</v>
      </c>
      <c r="H31" s="23">
        <f>G31*1000*1000</f>
        <v>0.35793154230660096</v>
      </c>
    </row>
    <row r="32" spans="1:8" x14ac:dyDescent="0.2">
      <c r="A32" s="25"/>
      <c r="B32" s="13" t="s">
        <v>9</v>
      </c>
      <c r="C32">
        <v>2</v>
      </c>
      <c r="D32">
        <v>8.4799997508525848E-2</v>
      </c>
      <c r="E32">
        <f t="shared" ref="E32:E38" si="6">D32-0.0406</f>
        <v>4.4199997508525851E-2</v>
      </c>
      <c r="F32">
        <v>6.94</v>
      </c>
      <c r="G32" s="8">
        <f t="shared" ref="G32:G38" si="7">((E32/28.6*1*0.0015*1))/(F32)</f>
        <v>3.340319434452589E-7</v>
      </c>
      <c r="H32" s="20">
        <f t="shared" ref="H32:H38" si="8">G32*1000*1000</f>
        <v>0.33403194344525894</v>
      </c>
    </row>
    <row r="33" spans="1:8" x14ac:dyDescent="0.2">
      <c r="A33" s="25"/>
      <c r="B33" s="13" t="s">
        <v>9</v>
      </c>
      <c r="C33">
        <v>3</v>
      </c>
      <c r="D33">
        <v>7.5800001621246338E-2</v>
      </c>
      <c r="E33">
        <f t="shared" si="6"/>
        <v>3.5200001621246341E-2</v>
      </c>
      <c r="F33">
        <v>6.63</v>
      </c>
      <c r="G33" s="8">
        <f t="shared" si="7"/>
        <v>2.7845458992220943E-7</v>
      </c>
      <c r="H33" s="20">
        <f t="shared" si="8"/>
        <v>0.27845458992220939</v>
      </c>
    </row>
    <row r="34" spans="1:8" x14ac:dyDescent="0.2">
      <c r="A34" s="26"/>
      <c r="B34" s="14" t="s">
        <v>9</v>
      </c>
      <c r="C34" s="15">
        <v>4</v>
      </c>
      <c r="D34" s="15">
        <v>0.1103999987244606</v>
      </c>
      <c r="E34" s="15">
        <f t="shared" si="6"/>
        <v>6.9799998724460605E-2</v>
      </c>
      <c r="F34" s="15">
        <v>9.6999999999999993</v>
      </c>
      <c r="G34" s="16">
        <f t="shared" si="7"/>
        <v>3.7740609215878781E-7</v>
      </c>
      <c r="H34" s="22">
        <f t="shared" si="8"/>
        <v>0.37740609215878784</v>
      </c>
    </row>
    <row r="35" spans="1:8" x14ac:dyDescent="0.2">
      <c r="A35" s="24" t="s">
        <v>7</v>
      </c>
      <c r="B35" s="10" t="s">
        <v>10</v>
      </c>
      <c r="C35" s="11">
        <v>1</v>
      </c>
      <c r="D35" s="11">
        <v>0.19290000200271606</v>
      </c>
      <c r="E35" s="11">
        <f t="shared" si="6"/>
        <v>0.15230000200271607</v>
      </c>
      <c r="F35" s="11">
        <v>8.9600000000000009</v>
      </c>
      <c r="G35" s="12">
        <f t="shared" si="7"/>
        <v>8.9149133290176256E-7</v>
      </c>
      <c r="H35" s="23">
        <f t="shared" si="8"/>
        <v>0.89149133290176263</v>
      </c>
    </row>
    <row r="36" spans="1:8" x14ac:dyDescent="0.2">
      <c r="A36" s="25"/>
      <c r="B36" s="13" t="s">
        <v>10</v>
      </c>
      <c r="C36">
        <v>2</v>
      </c>
      <c r="D36">
        <v>0.17170000076293945</v>
      </c>
      <c r="E36">
        <f t="shared" si="6"/>
        <v>0.13110000076293946</v>
      </c>
      <c r="F36">
        <v>8.02</v>
      </c>
      <c r="G36" s="8">
        <f t="shared" si="7"/>
        <v>8.5734091843995423E-7</v>
      </c>
      <c r="H36" s="20">
        <f t="shared" si="8"/>
        <v>0.85734091843995419</v>
      </c>
    </row>
    <row r="37" spans="1:8" x14ac:dyDescent="0.2">
      <c r="A37" s="25"/>
      <c r="B37" s="13" t="s">
        <v>10</v>
      </c>
      <c r="C37">
        <v>3</v>
      </c>
      <c r="D37">
        <v>0.258899986743927</v>
      </c>
      <c r="E37">
        <f t="shared" si="6"/>
        <v>0.218299986743927</v>
      </c>
      <c r="F37">
        <v>10.76</v>
      </c>
      <c r="G37" s="8">
        <f t="shared" si="7"/>
        <v>1.0640613386665534E-6</v>
      </c>
      <c r="H37" s="20">
        <f t="shared" si="8"/>
        <v>1.0640613386665534</v>
      </c>
    </row>
    <row r="38" spans="1:8" x14ac:dyDescent="0.2">
      <c r="A38" s="26"/>
      <c r="B38" s="14" t="s">
        <v>10</v>
      </c>
      <c r="C38" s="15">
        <v>4</v>
      </c>
      <c r="D38" s="15">
        <v>0.29570001363754272</v>
      </c>
      <c r="E38" s="15">
        <f t="shared" si="6"/>
        <v>0.25510001363754276</v>
      </c>
      <c r="F38" s="15">
        <v>10.67</v>
      </c>
      <c r="G38" s="16">
        <f t="shared" si="7"/>
        <v>1.2539242122423964E-6</v>
      </c>
      <c r="H38" s="22">
        <f t="shared" si="8"/>
        <v>1.2539242122423964</v>
      </c>
    </row>
  </sheetData>
  <mergeCells count="9">
    <mergeCell ref="A31:A34"/>
    <mergeCell ref="A35:A38"/>
    <mergeCell ref="P2:Q2"/>
    <mergeCell ref="A3:A6"/>
    <mergeCell ref="L3:L6"/>
    <mergeCell ref="M3:M6"/>
    <mergeCell ref="A7:A10"/>
    <mergeCell ref="L7:L10"/>
    <mergeCell ref="M7:M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calculations_6d</vt:lpstr>
      <vt:lpstr>calculations_14+3d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FluorChem Q</dc:creator>
  <cp:lastModifiedBy>Enya Becker</cp:lastModifiedBy>
  <dcterms:created xsi:type="dcterms:W3CDTF">2022-07-04T10:18:09Z</dcterms:created>
  <dcterms:modified xsi:type="dcterms:W3CDTF">2025-10-27T10:27:39Z</dcterms:modified>
</cp:coreProperties>
</file>